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<sst xmlns="http://schemas.openxmlformats.org/spreadsheetml/2006/main" count="86" uniqueCount="68">
  <si>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</si>
  <si>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</si>
  <si>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</si>
  <si>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</si>
  <si>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</si>
  <si>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</si>
  <si>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</si>
  <si>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</si>
  <si>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</si>
  <si>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</si>
  <si>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</si>
  <si>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</si>
  <si>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</si>
  <si>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</si>
  <si>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</si>
  <si>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</si>
  <si>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</si>
  <si>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</si>
  <si>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</si>
  <si>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</si>
  <si>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</si>
  <si>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</si>
  <si>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</si>
  <si>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</si>
  <si>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</si>
  <si>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</si>
  <si>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</si>
  <si>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</si>
  <si>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</si>
  <si>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</si>
  <si>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</si>
  <si>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</si>
  <si>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</si>
  <si>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</si>
  <si>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</si>
  <si>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</si>
  <si>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</si>
  <si>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</si>
  <si>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</si>
  <si>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</si>
  <si>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</si>
  <si>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</si>
  <si>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</si>
  <si>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</si>
  <si>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</si>
  <si>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</si>
  <si>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</si>
  <si>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</si>
  <si>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</si>
  <si>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</si>
  <si>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</si>
  <si>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</si>
  <si>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</si>
  <si>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</si>
  <si>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</si>
  <si>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</si>
  <si>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</si>
  <si>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</si>
  <si>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</si>
  <si>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</si>
  <si>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</si>
  <si>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</si>
  <si>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</si>
  <si>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</si>
  <si>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Приложение № 12</t>
  </si>
  <si>
    <t>Распределение средств фонда финансовой помощи бюджетам поселений на 2015 год</t>
  </si>
  <si>
    <t>муниципального района Сергиевский № 15</t>
  </si>
  <si>
    <t>от "26"  ноября   2015г.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</si>
</sst>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16" fillId="0" borderId="10" xfId="0" applyNumberFormat="1" applyFont="1" applyFill="1" applyBorder="1" applyAlignment="1" applyProtection="1">
      <alignment/>
      <protection/>
    </xf>
    <xf numFmtId="3" fontId="16" fillId="33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 locked="0"/>
    </xf>
    <xf numFmtId="3" fontId="16" fillId="33" borderId="1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7;&#1086;&#1089;&#1077;&#1083;&#1077;&#1085;&#1080;&#1080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5 доходы"/>
      <sheetName val="2016"/>
      <sheetName val="2016 доходы"/>
      <sheetName val="2017"/>
      <sheetName val="2017 доходы"/>
    </sheetNames>
    <sheetDataSet>
      <sheetData sheetId="1">
        <row r="38">
          <cell r="L38">
            <v>1024.75623</v>
          </cell>
          <cell r="O38">
            <v>552.91002</v>
          </cell>
          <cell r="R38">
            <v>1724.4712800000002</v>
          </cell>
          <cell r="U38">
            <v>2770.6511</v>
          </cell>
          <cell r="X38">
            <v>1744.0798799999998</v>
          </cell>
          <cell r="AA38">
            <v>2566.33771</v>
          </cell>
          <cell r="AD38">
            <v>1452.60046</v>
          </cell>
          <cell r="AG38">
            <v>2147.56682</v>
          </cell>
          <cell r="AJ38">
            <v>1560.7863699999998</v>
          </cell>
          <cell r="AM38">
            <v>2140.55503</v>
          </cell>
          <cell r="AP38">
            <v>1251.69162</v>
          </cell>
          <cell r="AS38">
            <v>3132.5528299999996</v>
          </cell>
          <cell r="AV38">
            <v>6793.07781</v>
          </cell>
          <cell r="AY38">
            <v>3490.76054</v>
          </cell>
          <cell r="BB38">
            <v>6989.46506</v>
          </cell>
          <cell r="BE38">
            <v>9762.66161</v>
          </cell>
          <cell r="BH38">
            <v>2148.07563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2"/>
      <c r="B1" s="52"/>
      <c r="C1" s="52"/>
      <c r="D1" s="52"/>
      <c r="E1" s="52"/>
      <c r="F1" s="52"/>
      <c r="G1" s="52"/>
      <c r="H1" s="52"/>
    </row>
    <row r="2" spans="1:8" ht="22.5" customHeight="1" hidden="1">
      <c r="A2" s="51"/>
      <c r="B2" s="51"/>
      <c r="C2" s="51"/>
      <c r="D2" s="51"/>
      <c r="E2" s="51"/>
      <c r="F2" s="51"/>
      <c r="G2" s="51"/>
      <c r="H2" s="51"/>
    </row>
    <row r="3" spans="1:8" ht="12.75" hidden="1">
      <c r="A3" s="60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60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60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3" t="s">
        <v>63</v>
      </c>
      <c r="G7" s="63"/>
      <c r="H7" s="63"/>
      <c r="I7" s="21"/>
    </row>
    <row r="8" ht="10.5" customHeight="1">
      <c r="B8" s="7"/>
    </row>
    <row r="9" ht="12.75" hidden="1">
      <c r="B9" s="7"/>
    </row>
    <row r="10" spans="2:8" ht="18.75">
      <c r="B10" s="59" t="s">
        <v>37</v>
      </c>
      <c r="C10" s="59"/>
      <c r="D10" s="59"/>
      <c r="E10" s="59"/>
      <c r="F10" s="59"/>
      <c r="G10" s="59"/>
      <c r="H10" s="59"/>
    </row>
    <row r="11" spans="1:8" ht="18.75">
      <c r="A11" s="11"/>
      <c r="B11" s="58" t="s">
        <v>38</v>
      </c>
      <c r="C11" s="58"/>
      <c r="D11" s="58"/>
      <c r="E11" s="58"/>
      <c r="F11" s="58"/>
      <c r="G11" s="58"/>
      <c r="H11" s="58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3" t="s">
        <v>15</v>
      </c>
      <c r="B13" s="55" t="s">
        <v>39</v>
      </c>
      <c r="C13" s="55"/>
      <c r="D13" s="55"/>
      <c r="E13" s="55"/>
      <c r="F13" s="19">
        <f>E3</f>
        <v>1274</v>
      </c>
      <c r="G13" s="54">
        <f>IF(F14=G39,"","Необходим пересчёт дотаций!
Нажмите на кнопку 'Расчёт'!")</f>
      </c>
      <c r="H13" s="54"/>
    </row>
    <row r="14" spans="1:8" s="3" customFormat="1" ht="17.25" customHeight="1">
      <c r="A14" s="53"/>
      <c r="B14" s="55" t="s">
        <v>40</v>
      </c>
      <c r="C14" s="55"/>
      <c r="D14" s="55"/>
      <c r="E14" s="55"/>
      <c r="F14" s="19">
        <f>E4</f>
        <v>300</v>
      </c>
      <c r="G14" s="54"/>
      <c r="H14" s="54"/>
    </row>
    <row r="15" spans="1:8" s="3" customFormat="1" ht="12.75" customHeight="1">
      <c r="A15" s="53"/>
      <c r="B15" s="56" t="s">
        <v>41</v>
      </c>
      <c r="C15" s="56"/>
      <c r="D15" s="56"/>
      <c r="E15" s="56">
        <v>-37778706683311340</v>
      </c>
      <c r="F15" s="22">
        <f>SUM(F13:F14)</f>
        <v>1574</v>
      </c>
      <c r="G15" s="54"/>
      <c r="H15" s="54"/>
    </row>
    <row r="16" spans="1:8" s="3" customFormat="1" ht="12.75" customHeight="1">
      <c r="A16" s="53"/>
      <c r="B16" s="14"/>
      <c r="F16" s="13"/>
      <c r="G16" s="54"/>
      <c r="H16" s="54"/>
    </row>
    <row r="17" spans="1:8" s="3" customFormat="1" ht="12.75" customHeight="1">
      <c r="A17" s="53"/>
      <c r="B17" s="57" t="s">
        <v>12</v>
      </c>
      <c r="C17" s="57"/>
      <c r="D17" s="57"/>
      <c r="E17" s="15">
        <v>456.9418960244648</v>
      </c>
      <c r="F17" s="16">
        <f>IF(G39&gt;F14,"меньше",IF(G39&lt;F14,"больше",""))</f>
      </c>
      <c r="G17" s="54"/>
      <c r="H17" s="54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2" t="s">
        <v>6</v>
      </c>
      <c r="C19" s="62" t="s">
        <v>17</v>
      </c>
      <c r="D19" s="62" t="s">
        <v>42</v>
      </c>
      <c r="E19" s="62" t="s">
        <v>18</v>
      </c>
      <c r="F19" s="61" t="s">
        <v>11</v>
      </c>
      <c r="G19" s="61"/>
      <c r="H19" s="61"/>
    </row>
    <row r="20" spans="2:8" s="3" customFormat="1" ht="94.5">
      <c r="B20" s="62"/>
      <c r="C20" s="62"/>
      <c r="D20" s="62"/>
      <c r="E20" s="62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33" customWidth="1"/>
    <col min="2" max="2" width="40.875" style="33" customWidth="1"/>
    <col min="3" max="3" width="12.25390625" style="33" customWidth="1"/>
    <col min="4" max="4" width="14.375" style="33" customWidth="1"/>
    <col min="5" max="5" width="14.00390625" style="33" customWidth="1"/>
    <col min="6" max="6" width="12.375" style="33" customWidth="1"/>
    <col min="7" max="7" width="15.2539062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64" t="s">
        <v>64</v>
      </c>
      <c r="H1" s="64"/>
      <c r="I1" s="64"/>
      <c r="J1" s="64"/>
      <c r="K1" s="64"/>
    </row>
    <row r="2" spans="6:11" ht="15.75">
      <c r="F2" s="34"/>
      <c r="G2" s="64" t="s">
        <v>43</v>
      </c>
      <c r="H2" s="64"/>
      <c r="I2" s="64"/>
      <c r="J2" s="64"/>
      <c r="K2" s="64"/>
    </row>
    <row r="3" spans="6:11" ht="15.75">
      <c r="F3" s="34"/>
      <c r="G3" s="64" t="s">
        <v>66</v>
      </c>
      <c r="H3" s="64"/>
      <c r="I3" s="64"/>
      <c r="J3" s="64"/>
      <c r="K3" s="64"/>
    </row>
    <row r="4" spans="6:11" ht="15.75">
      <c r="F4" s="34"/>
      <c r="G4" s="64" t="s">
        <v>67</v>
      </c>
      <c r="H4" s="64"/>
      <c r="I4" s="64"/>
      <c r="J4" s="64"/>
      <c r="K4" s="64"/>
    </row>
    <row r="6" spans="2:10" ht="18.75">
      <c r="B6" s="65" t="s">
        <v>65</v>
      </c>
      <c r="C6" s="65"/>
      <c r="D6" s="65"/>
      <c r="E6" s="65"/>
      <c r="F6" s="65"/>
      <c r="G6" s="65"/>
      <c r="H6" s="65"/>
      <c r="I6" s="65"/>
      <c r="J6" s="35"/>
    </row>
    <row r="7" spans="2:10" ht="18.75">
      <c r="B7" s="65" t="s">
        <v>38</v>
      </c>
      <c r="C7" s="65"/>
      <c r="D7" s="65"/>
      <c r="E7" s="65"/>
      <c r="F7" s="65"/>
      <c r="G7" s="65"/>
      <c r="H7" s="65"/>
      <c r="I7" s="65"/>
      <c r="J7" s="35"/>
    </row>
    <row r="8" spans="2:9" ht="18.75">
      <c r="B8" s="40"/>
      <c r="C8" s="40"/>
      <c r="D8" s="40"/>
      <c r="E8" s="40"/>
      <c r="F8" s="40"/>
      <c r="G8" s="40"/>
      <c r="H8" s="40"/>
      <c r="I8" s="40"/>
    </row>
    <row r="9" ht="15.75">
      <c r="K9" s="36" t="s">
        <v>44</v>
      </c>
    </row>
    <row r="10" spans="1:11" ht="36" customHeight="1">
      <c r="A10" s="41" t="s">
        <v>45</v>
      </c>
      <c r="B10" s="42"/>
      <c r="C10" s="66" t="s">
        <v>46</v>
      </c>
      <c r="D10" s="67"/>
      <c r="E10" s="67"/>
      <c r="F10" s="68"/>
      <c r="G10" s="69" t="s">
        <v>47</v>
      </c>
      <c r="H10" s="72" t="s">
        <v>48</v>
      </c>
      <c r="I10" s="41" t="s">
        <v>49</v>
      </c>
      <c r="J10" s="72" t="s">
        <v>50</v>
      </c>
      <c r="K10" s="72" t="s">
        <v>51</v>
      </c>
    </row>
    <row r="11" spans="1:11" ht="51.75" customHeight="1">
      <c r="A11" s="43" t="s">
        <v>52</v>
      </c>
      <c r="B11" s="43" t="s">
        <v>53</v>
      </c>
      <c r="C11" s="72" t="s">
        <v>54</v>
      </c>
      <c r="D11" s="72" t="s">
        <v>55</v>
      </c>
      <c r="E11" s="72" t="s">
        <v>56</v>
      </c>
      <c r="F11" s="72" t="s">
        <v>57</v>
      </c>
      <c r="G11" s="70"/>
      <c r="H11" s="73"/>
      <c r="I11" s="43" t="s">
        <v>58</v>
      </c>
      <c r="J11" s="73"/>
      <c r="K11" s="73"/>
    </row>
    <row r="12" spans="1:11" ht="41.25" customHeight="1">
      <c r="A12" s="44"/>
      <c r="B12" s="45"/>
      <c r="C12" s="74"/>
      <c r="D12" s="74"/>
      <c r="E12" s="74"/>
      <c r="F12" s="74"/>
      <c r="G12" s="71"/>
      <c r="H12" s="74"/>
      <c r="I12" s="44" t="s">
        <v>59</v>
      </c>
      <c r="J12" s="74"/>
      <c r="K12" s="74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8.75" customHeight="1">
      <c r="A14" s="38">
        <v>1</v>
      </c>
      <c r="B14" s="26" t="s">
        <v>20</v>
      </c>
      <c r="C14" s="48">
        <f>'[2]2015 доходы'!$BE$38</f>
        <v>9762.66161</v>
      </c>
      <c r="D14" s="28">
        <v>37353.53445</v>
      </c>
      <c r="E14" s="28">
        <v>7419.097</v>
      </c>
      <c r="F14" s="48">
        <f>SUM(C14:E14)</f>
        <v>54535.29306</v>
      </c>
      <c r="G14" s="48">
        <f>55617.42974-3395.12647</f>
        <v>52222.30327</v>
      </c>
      <c r="H14" s="48">
        <f>F14-G14</f>
        <v>2312.989790000007</v>
      </c>
      <c r="I14" s="48">
        <f>J14+H14</f>
        <v>6790.252935000007</v>
      </c>
      <c r="J14" s="48">
        <f>(D14+E14)*0.1</f>
        <v>4477.263145</v>
      </c>
      <c r="K14" s="46">
        <f>IF(F14-G14&gt;0,0,IF(F14-G14&lt;0,-(J14+H14)))</f>
        <v>0</v>
      </c>
    </row>
    <row r="15" spans="1:11" s="1" customFormat="1" ht="18.75" customHeight="1">
      <c r="A15" s="38">
        <v>2</v>
      </c>
      <c r="B15" s="26" t="s">
        <v>21</v>
      </c>
      <c r="C15" s="48">
        <f>'[2]2015 доходы'!$L$38</f>
        <v>1024.75623</v>
      </c>
      <c r="D15" s="28">
        <v>1097.41299</v>
      </c>
      <c r="E15" s="28">
        <v>319.536</v>
      </c>
      <c r="F15" s="48">
        <f aca="true" t="shared" si="0" ref="F15:F30">SUM(C15:E15)</f>
        <v>2441.70522</v>
      </c>
      <c r="G15" s="48">
        <f>3558.00414-115.45147</f>
        <v>3442.55267</v>
      </c>
      <c r="H15" s="48">
        <f aca="true" t="shared" si="1" ref="H15:H30">F15-G15</f>
        <v>-1000.8474500000002</v>
      </c>
      <c r="I15" s="48">
        <f>J15+H15</f>
        <v>-930.0000005000002</v>
      </c>
      <c r="J15" s="48">
        <f>(D15+E15)*0.05</f>
        <v>70.84744950000001</v>
      </c>
      <c r="K15" s="46">
        <f aca="true" t="shared" si="2" ref="K15:K30">IF(F15-G15&gt;0,0,IF(F15-G15&lt;0,-(J15+H15)))</f>
        <v>930.0000005000002</v>
      </c>
    </row>
    <row r="16" spans="1:11" s="1" customFormat="1" ht="18.75" customHeight="1">
      <c r="A16" s="38">
        <v>3</v>
      </c>
      <c r="B16" s="26" t="s">
        <v>22</v>
      </c>
      <c r="C16" s="48">
        <f>'[2]2015 доходы'!$O$38</f>
        <v>552.91002</v>
      </c>
      <c r="D16" s="28">
        <v>2134.15357</v>
      </c>
      <c r="E16" s="28">
        <v>117.29274</v>
      </c>
      <c r="F16" s="48">
        <f t="shared" si="0"/>
        <v>2804.3563299999996</v>
      </c>
      <c r="G16" s="48">
        <f>3287.22236-157.7214</f>
        <v>3129.5009600000003</v>
      </c>
      <c r="H16" s="48">
        <f t="shared" si="1"/>
        <v>-325.1446300000007</v>
      </c>
      <c r="I16" s="48">
        <f aca="true" t="shared" si="3" ref="I16:I30">J16+H16</f>
        <v>-99.99999900000068</v>
      </c>
      <c r="J16" s="48">
        <f>(D16+E16)*0.1</f>
        <v>225.144631</v>
      </c>
      <c r="K16" s="46">
        <f t="shared" si="2"/>
        <v>99.99999900000068</v>
      </c>
    </row>
    <row r="17" spans="1:11" s="1" customFormat="1" ht="18.75" customHeight="1">
      <c r="A17" s="38">
        <v>4</v>
      </c>
      <c r="B17" s="26" t="s">
        <v>23</v>
      </c>
      <c r="C17" s="48">
        <f>'[2]2015 доходы'!$R$38</f>
        <v>1724.4712800000002</v>
      </c>
      <c r="D17" s="28">
        <v>3750.43114</v>
      </c>
      <c r="E17" s="28">
        <v>404.52403</v>
      </c>
      <c r="F17" s="48">
        <f t="shared" si="0"/>
        <v>5879.42645</v>
      </c>
      <c r="G17" s="48">
        <f>7171.60291-876.68094</f>
        <v>6294.921969999999</v>
      </c>
      <c r="H17" s="48">
        <f t="shared" si="1"/>
        <v>-415.4955199999995</v>
      </c>
      <c r="I17" s="48">
        <f t="shared" si="3"/>
        <v>-2.9999994239915395E-06</v>
      </c>
      <c r="J17" s="48">
        <f>(D17+E17)*0.1</f>
        <v>415.49551700000006</v>
      </c>
      <c r="K17" s="46">
        <f t="shared" si="2"/>
        <v>2.9999994239915395E-06</v>
      </c>
    </row>
    <row r="18" spans="1:11" s="1" customFormat="1" ht="18.75" customHeight="1">
      <c r="A18" s="38">
        <v>5</v>
      </c>
      <c r="B18" s="26" t="s">
        <v>24</v>
      </c>
      <c r="C18" s="48">
        <f>'[2]2015 доходы'!$U$38</f>
        <v>2770.6511</v>
      </c>
      <c r="D18" s="28">
        <v>2595.41433</v>
      </c>
      <c r="E18" s="28">
        <v>179.01872</v>
      </c>
      <c r="F18" s="48">
        <f t="shared" si="0"/>
        <v>5545.084150000001</v>
      </c>
      <c r="G18" s="48">
        <f>6491.63929-7.83349</f>
        <v>6483.8058</v>
      </c>
      <c r="H18" s="48">
        <f t="shared" si="1"/>
        <v>-938.7216499999995</v>
      </c>
      <c r="I18" s="48">
        <f t="shared" si="3"/>
        <v>-799.9999974999995</v>
      </c>
      <c r="J18" s="48">
        <f>(D18+E18)*0.05</f>
        <v>138.7216525</v>
      </c>
      <c r="K18" s="46">
        <f>IF(F18-G18&gt;0,0,IF(F18-G18&lt;0,-(J18+H18)))</f>
        <v>799.9999974999995</v>
      </c>
    </row>
    <row r="19" spans="1:11" s="1" customFormat="1" ht="18.75" customHeight="1">
      <c r="A19" s="38">
        <v>6</v>
      </c>
      <c r="B19" s="26" t="s">
        <v>25</v>
      </c>
      <c r="C19" s="48">
        <f>'[2]2015 доходы'!$X$38</f>
        <v>1744.0798799999998</v>
      </c>
      <c r="D19" s="28">
        <v>2703.40054</v>
      </c>
      <c r="E19" s="28">
        <v>189.6318</v>
      </c>
      <c r="F19" s="48">
        <f t="shared" si="0"/>
        <v>4637.11222</v>
      </c>
      <c r="G19" s="48">
        <f>6430.34313-790.66938</f>
        <v>5639.67375</v>
      </c>
      <c r="H19" s="48">
        <f t="shared" si="1"/>
        <v>-1002.56153</v>
      </c>
      <c r="I19" s="48">
        <f t="shared" si="3"/>
        <v>-713.258296</v>
      </c>
      <c r="J19" s="48">
        <f>(D19+E19)*0.1</f>
        <v>289.30323400000003</v>
      </c>
      <c r="K19" s="46">
        <f t="shared" si="2"/>
        <v>713.258296</v>
      </c>
    </row>
    <row r="20" spans="1:11" s="1" customFormat="1" ht="18.75" customHeight="1">
      <c r="A20" s="38">
        <v>7</v>
      </c>
      <c r="B20" s="26" t="s">
        <v>26</v>
      </c>
      <c r="C20" s="48">
        <f>'[2]2015 доходы'!$AA$38</f>
        <v>2566.33771</v>
      </c>
      <c r="D20" s="28">
        <v>2667.52798</v>
      </c>
      <c r="E20" s="28">
        <v>801.46297</v>
      </c>
      <c r="F20" s="48">
        <f t="shared" si="0"/>
        <v>6035.328659999999</v>
      </c>
      <c r="G20" s="48">
        <f>6688.16127-15.93352</f>
        <v>6672.22775</v>
      </c>
      <c r="H20" s="48">
        <f t="shared" si="1"/>
        <v>-636.8990900000008</v>
      </c>
      <c r="I20" s="48">
        <f t="shared" si="3"/>
        <v>-289.9999950000008</v>
      </c>
      <c r="J20" s="48">
        <f>(D20+E20)*0.1</f>
        <v>346.899095</v>
      </c>
      <c r="K20" s="47">
        <f>IF(F20-G20&gt;0,0,IF(F20-G20&lt;0,-(J20+H20)))</f>
        <v>289.9999950000008</v>
      </c>
    </row>
    <row r="21" spans="1:11" s="1" customFormat="1" ht="18.75" customHeight="1">
      <c r="A21" s="38">
        <v>8</v>
      </c>
      <c r="B21" s="26" t="s">
        <v>27</v>
      </c>
      <c r="C21" s="48">
        <f>'[2]2015 доходы'!$AD$38</f>
        <v>1452.60046</v>
      </c>
      <c r="D21" s="28">
        <v>2200.1159</v>
      </c>
      <c r="E21" s="28">
        <v>561.034</v>
      </c>
      <c r="F21" s="48">
        <f t="shared" si="0"/>
        <v>4213.75036</v>
      </c>
      <c r="G21" s="48">
        <f>5618.26517-1036.457315</f>
        <v>4581.807854999999</v>
      </c>
      <c r="H21" s="48">
        <f t="shared" si="1"/>
        <v>-368.0574949999991</v>
      </c>
      <c r="I21" s="48">
        <f t="shared" si="3"/>
        <v>-229.99999999999912</v>
      </c>
      <c r="J21" s="48">
        <f>(D21+E21)*0.05</f>
        <v>138.057495</v>
      </c>
      <c r="K21" s="46">
        <f t="shared" si="2"/>
        <v>229.99999999999912</v>
      </c>
    </row>
    <row r="22" spans="1:11" s="1" customFormat="1" ht="18.75" customHeight="1">
      <c r="A22" s="38">
        <v>9</v>
      </c>
      <c r="B22" s="26" t="s">
        <v>28</v>
      </c>
      <c r="C22" s="48">
        <f>'[2]2015 доходы'!$AG$38</f>
        <v>2147.56682</v>
      </c>
      <c r="D22" s="28">
        <v>1454.9883</v>
      </c>
      <c r="E22" s="28">
        <v>39.54</v>
      </c>
      <c r="F22" s="48">
        <f t="shared" si="0"/>
        <v>3642.09512</v>
      </c>
      <c r="G22" s="48">
        <f>4932.18205-1215.36052</f>
        <v>3716.82153</v>
      </c>
      <c r="H22" s="48">
        <f t="shared" si="1"/>
        <v>-74.72641000000021</v>
      </c>
      <c r="I22" s="48">
        <f t="shared" si="3"/>
        <v>4.9999997884242475E-06</v>
      </c>
      <c r="J22" s="48">
        <f>(D22+E22)*0.05</f>
        <v>74.726415</v>
      </c>
      <c r="K22" s="46">
        <f t="shared" si="2"/>
        <v>-4.9999997884242475E-06</v>
      </c>
    </row>
    <row r="23" spans="1:11" s="1" customFormat="1" ht="18.75" customHeight="1">
      <c r="A23" s="38">
        <v>10</v>
      </c>
      <c r="B23" s="26" t="s">
        <v>29</v>
      </c>
      <c r="C23" s="48">
        <f>'[2]2015 доходы'!$AJ$38</f>
        <v>1560.7863699999998</v>
      </c>
      <c r="D23" s="28">
        <v>1215.93743</v>
      </c>
      <c r="E23" s="28">
        <v>927.07864</v>
      </c>
      <c r="F23" s="48">
        <f t="shared" si="0"/>
        <v>3703.8024399999995</v>
      </c>
      <c r="G23" s="48">
        <f>4698.75266-197.79942</f>
        <v>4500.95324</v>
      </c>
      <c r="H23" s="48">
        <f t="shared" si="1"/>
        <v>-797.1508000000003</v>
      </c>
      <c r="I23" s="48">
        <f t="shared" si="3"/>
        <v>-689.9999965000004</v>
      </c>
      <c r="J23" s="48">
        <f>(D23+E23)*0.05</f>
        <v>107.1508035</v>
      </c>
      <c r="K23" s="46">
        <f t="shared" si="2"/>
        <v>689.9999965000004</v>
      </c>
    </row>
    <row r="24" spans="1:11" s="1" customFormat="1" ht="18.75" customHeight="1">
      <c r="A24" s="38">
        <v>11</v>
      </c>
      <c r="B24" s="26" t="s">
        <v>30</v>
      </c>
      <c r="C24" s="48">
        <f>'[2]2015 доходы'!$AM$38</f>
        <v>2140.55503</v>
      </c>
      <c r="D24" s="28">
        <v>1993.9158</v>
      </c>
      <c r="E24" s="28">
        <v>316.14942</v>
      </c>
      <c r="F24" s="48">
        <f t="shared" si="0"/>
        <v>4450.62025</v>
      </c>
      <c r="G24" s="48">
        <f>7250.08663-1703.31843</f>
        <v>5546.7681999999995</v>
      </c>
      <c r="H24" s="48">
        <f t="shared" si="1"/>
        <v>-1096.1479499999996</v>
      </c>
      <c r="I24" s="48">
        <f>J24+H24</f>
        <v>-865.1414279999996</v>
      </c>
      <c r="J24" s="48">
        <f>(D24+E24)*0.1</f>
        <v>231.00652200000002</v>
      </c>
      <c r="K24" s="46">
        <f t="shared" si="2"/>
        <v>865.1414279999996</v>
      </c>
    </row>
    <row r="25" spans="1:11" s="1" customFormat="1" ht="18.75" customHeight="1">
      <c r="A25" s="38">
        <v>12</v>
      </c>
      <c r="B25" s="26" t="s">
        <v>31</v>
      </c>
      <c r="C25" s="48">
        <f>'[2]2015 доходы'!$AP$38</f>
        <v>1251.69162</v>
      </c>
      <c r="D25" s="28">
        <v>1384.67374</v>
      </c>
      <c r="E25" s="28">
        <v>122.26281</v>
      </c>
      <c r="F25" s="48">
        <f t="shared" si="0"/>
        <v>2758.62817</v>
      </c>
      <c r="G25" s="48">
        <f>3767.70266-858.38084</f>
        <v>2909.32182</v>
      </c>
      <c r="H25" s="48">
        <f t="shared" si="1"/>
        <v>-150.69365000000016</v>
      </c>
      <c r="I25" s="48">
        <f t="shared" si="3"/>
        <v>4.999999845267666E-06</v>
      </c>
      <c r="J25" s="48">
        <f>(D25+E25)*0.1</f>
        <v>150.693655</v>
      </c>
      <c r="K25" s="46">
        <f t="shared" si="2"/>
        <v>-4.999999845267666E-06</v>
      </c>
    </row>
    <row r="26" spans="1:11" s="1" customFormat="1" ht="18.75" customHeight="1">
      <c r="A26" s="38">
        <v>13</v>
      </c>
      <c r="B26" s="26" t="s">
        <v>32</v>
      </c>
      <c r="C26" s="48">
        <f>'[2]2015 доходы'!$AS$38</f>
        <v>3132.5528299999996</v>
      </c>
      <c r="D26" s="28">
        <v>2209.81636</v>
      </c>
      <c r="E26" s="28">
        <v>170.11761</v>
      </c>
      <c r="F26" s="48">
        <f t="shared" si="0"/>
        <v>5512.4868</v>
      </c>
      <c r="G26" s="48">
        <f>6904.42139-1272.93789</f>
        <v>5631.4835</v>
      </c>
      <c r="H26" s="48">
        <f t="shared" si="1"/>
        <v>-118.9967000000006</v>
      </c>
      <c r="I26" s="48">
        <f t="shared" si="3"/>
        <v>-1.500000593068762E-06</v>
      </c>
      <c r="J26" s="48">
        <f>(D26+E26)*0.05</f>
        <v>118.99669850000001</v>
      </c>
      <c r="K26" s="46">
        <f t="shared" si="2"/>
        <v>1.500000593068762E-06</v>
      </c>
    </row>
    <row r="27" spans="1:11" s="1" customFormat="1" ht="18.75" customHeight="1">
      <c r="A27" s="38">
        <v>14</v>
      </c>
      <c r="B27" s="26" t="s">
        <v>33</v>
      </c>
      <c r="C27" s="48">
        <f>'[2]2015 доходы'!$AV$38</f>
        <v>6793.07781</v>
      </c>
      <c r="D27" s="28">
        <v>20761.17814</v>
      </c>
      <c r="E27" s="28">
        <v>2874.082</v>
      </c>
      <c r="F27" s="48">
        <f t="shared" si="0"/>
        <v>30428.337949999997</v>
      </c>
      <c r="G27" s="48">
        <f>35841.10459-1116.62643</f>
        <v>34724.478160000006</v>
      </c>
      <c r="H27" s="48">
        <f t="shared" si="1"/>
        <v>-4296.140210000009</v>
      </c>
      <c r="I27" s="48">
        <f t="shared" si="3"/>
        <v>-3114.3772030000086</v>
      </c>
      <c r="J27" s="48">
        <f>(D27+E27)*0.05</f>
        <v>1181.763007</v>
      </c>
      <c r="K27" s="46">
        <f t="shared" si="2"/>
        <v>3114.3772030000086</v>
      </c>
    </row>
    <row r="28" spans="1:11" s="1" customFormat="1" ht="18.75" customHeight="1">
      <c r="A28" s="38">
        <v>15</v>
      </c>
      <c r="B28" s="26" t="s">
        <v>34</v>
      </c>
      <c r="C28" s="48">
        <f>'[2]2015 доходы'!$AY$38</f>
        <v>3490.76054</v>
      </c>
      <c r="D28" s="28">
        <v>5141.48898</v>
      </c>
      <c r="E28" s="28">
        <v>1270.54</v>
      </c>
      <c r="F28" s="48">
        <f t="shared" si="0"/>
        <v>9902.789520000002</v>
      </c>
      <c r="G28" s="48">
        <f>12299.34294-1755.35052</f>
        <v>10543.99242</v>
      </c>
      <c r="H28" s="48">
        <f t="shared" si="1"/>
        <v>-641.2028999999984</v>
      </c>
      <c r="I28" s="48">
        <f t="shared" si="3"/>
        <v>-1.9999984033347573E-06</v>
      </c>
      <c r="J28" s="48">
        <f>(D28+E28)*0.1</f>
        <v>641.202898</v>
      </c>
      <c r="K28" s="46">
        <f t="shared" si="2"/>
        <v>1.9999984033347573E-06</v>
      </c>
    </row>
    <row r="29" spans="1:11" s="1" customFormat="1" ht="18.75" customHeight="1">
      <c r="A29" s="38">
        <v>16</v>
      </c>
      <c r="B29" s="26" t="s">
        <v>35</v>
      </c>
      <c r="C29" s="48">
        <f>'[2]2015 доходы'!$BB$38</f>
        <v>6989.46506</v>
      </c>
      <c r="D29" s="28">
        <v>8461.62518</v>
      </c>
      <c r="E29" s="28">
        <v>943.292</v>
      </c>
      <c r="F29" s="48">
        <f t="shared" si="0"/>
        <v>16394.38224</v>
      </c>
      <c r="G29" s="48">
        <f>17695.69272-831.06462</f>
        <v>16864.628099999998</v>
      </c>
      <c r="H29" s="48">
        <f t="shared" si="1"/>
        <v>-470.2458599999991</v>
      </c>
      <c r="I29" s="48">
        <f t="shared" si="3"/>
        <v>-9.999991448239598E-07</v>
      </c>
      <c r="J29" s="48">
        <f>(D29+E29)*0.05</f>
        <v>470.24585899999994</v>
      </c>
      <c r="K29" s="46">
        <f t="shared" si="2"/>
        <v>9.999991448239598E-07</v>
      </c>
    </row>
    <row r="30" spans="1:11" s="1" customFormat="1" ht="18.75" customHeight="1">
      <c r="A30" s="38">
        <v>17</v>
      </c>
      <c r="B30" s="26" t="s">
        <v>36</v>
      </c>
      <c r="C30" s="48">
        <f>'[2]2015 доходы'!$BH$38</f>
        <v>2148.07563</v>
      </c>
      <c r="D30" s="28">
        <v>2931.87815</v>
      </c>
      <c r="E30" s="28">
        <v>361.056</v>
      </c>
      <c r="F30" s="48">
        <f t="shared" si="0"/>
        <v>5441.009779999999</v>
      </c>
      <c r="G30" s="48">
        <f>6908.96801-1038.66482</f>
        <v>5870.30319</v>
      </c>
      <c r="H30" s="48">
        <f t="shared" si="1"/>
        <v>-429.2934100000002</v>
      </c>
      <c r="I30" s="48">
        <f t="shared" si="3"/>
        <v>-99.99999500000018</v>
      </c>
      <c r="J30" s="48">
        <f>(D30+E30)*0.1</f>
        <v>329.29341500000004</v>
      </c>
      <c r="K30" s="46">
        <f t="shared" si="2"/>
        <v>99.99999500000018</v>
      </c>
    </row>
    <row r="31" spans="1:11" ht="23.25" customHeight="1">
      <c r="A31" s="39"/>
      <c r="B31" s="49" t="s">
        <v>62</v>
      </c>
      <c r="C31" s="50">
        <f>SUM(C14:C30)</f>
        <v>51253.00000000001</v>
      </c>
      <c r="D31" s="50">
        <f aca="true" t="shared" si="4" ref="D31:J31">SUM(D14:D30)</f>
        <v>100057.49298</v>
      </c>
      <c r="E31" s="50">
        <f>SUM(E14:E30)</f>
        <v>17015.71574</v>
      </c>
      <c r="F31" s="50">
        <f>SUM(F14:F30)</f>
        <v>168326.20871999997</v>
      </c>
      <c r="G31" s="50">
        <f>SUM(G14:G30)</f>
        <v>178775.54418500004</v>
      </c>
      <c r="H31" s="50">
        <f t="shared" si="4"/>
        <v>-10449.335465</v>
      </c>
      <c r="I31" s="50">
        <f t="shared" si="4"/>
        <v>-1042.5239729999996</v>
      </c>
      <c r="J31" s="50">
        <f t="shared" si="4"/>
        <v>9406.811492</v>
      </c>
      <c r="K31" s="50">
        <f>SUM(K14:K30)</f>
        <v>7832.776908000008</v>
      </c>
    </row>
  </sheetData>
  <sheetProtection/>
  <mergeCells count="15"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  <mergeCell ref="G1:K1"/>
    <mergeCell ref="G2:K2"/>
    <mergeCell ref="G3:K3"/>
    <mergeCell ref="G4:K4"/>
    <mergeCell ref="B6:I6"/>
    <mergeCell ref="B7:I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Лариса</cp:lastModifiedBy>
  <cp:lastPrinted>2015-09-07T13:37:46Z</cp:lastPrinted>
  <dcterms:created xsi:type="dcterms:W3CDTF">1998-09-07T09:31:30Z</dcterms:created>
  <dcterms:modified xsi:type="dcterms:W3CDTF">2015-11-26T12:15:00Z</dcterms:modified>
  <cp:category/>
  <cp:version/>
  <cp:contentType/>
  <cp:contentStatus/>
</cp:coreProperties>
</file>